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56939\Desktop\9-3 mandar a martin giaconi\"/>
    </mc:Choice>
  </mc:AlternateContent>
  <workbookProtection workbookAlgorithmName="SHA-512" workbookHashValue="SB4kkVLAowe2CMTi7CtktVxSWk0Bdkyd9CJLRWBEUkmrpzNkOR6RlftBQiWntf5aBkrOTI+OI3lJrtN5zq9Akg==" workbookSaltValue="xQUrQjGR2TzLW4O6kb9gbA==" workbookSpinCount="100000" lockStructure="1"/>
  <bookViews>
    <workbookView xWindow="0" yWindow="0" windowWidth="25125" windowHeight="12330" firstSheet="1" activeTab="2"/>
  </bookViews>
  <sheets>
    <sheet name="Hoja1" sheetId="1" state="hidden" r:id="rId1"/>
    <sheet name="Instructivo" sheetId="5" r:id="rId2"/>
    <sheet name="Derechos de construcció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2" l="1"/>
  <c r="R16" i="2"/>
  <c r="R15" i="2"/>
  <c r="R14" i="2"/>
  <c r="R13" i="2"/>
  <c r="H17" i="2" l="1"/>
  <c r="H16" i="2"/>
  <c r="H15" i="2"/>
  <c r="H14" i="2"/>
  <c r="G15" i="2"/>
  <c r="G16" i="2"/>
  <c r="G17" i="2"/>
  <c r="G14" i="2" l="1"/>
  <c r="AD21" i="2"/>
  <c r="AC21" i="2"/>
  <c r="AB21" i="2"/>
  <c r="Q21" i="2"/>
  <c r="V21" i="2"/>
  <c r="U21" i="2"/>
  <c r="S21" i="2"/>
  <c r="AH17" i="2"/>
  <c r="AH16" i="2"/>
  <c r="AH15" i="2"/>
  <c r="AH14" i="2"/>
  <c r="AH13" i="2"/>
  <c r="F13" i="2" l="1"/>
  <c r="G13" i="2"/>
  <c r="I13" i="2" s="1"/>
  <c r="H13" i="2"/>
  <c r="F14" i="2"/>
  <c r="F15" i="2"/>
  <c r="M15" i="2"/>
  <c r="F16" i="2"/>
  <c r="I16" i="2"/>
  <c r="J16" i="2" s="1"/>
  <c r="F17" i="2"/>
  <c r="I17" i="2"/>
  <c r="J17" i="2" s="1"/>
  <c r="K16" i="2" l="1"/>
  <c r="L16" i="2" s="1"/>
  <c r="K17" i="2"/>
  <c r="L17" i="2" s="1"/>
  <c r="M13" i="2"/>
  <c r="R21" i="2" s="1"/>
  <c r="J13" i="2"/>
  <c r="M14" i="2"/>
  <c r="T21" i="2"/>
  <c r="I14" i="2"/>
  <c r="J14" i="2" s="1"/>
  <c r="I15" i="2"/>
  <c r="J15" i="2" s="1"/>
  <c r="M17" i="2"/>
  <c r="M16" i="2"/>
  <c r="K14" i="2" l="1"/>
  <c r="L14" i="2" s="1"/>
  <c r="K15" i="2"/>
  <c r="L15" i="2" s="1"/>
  <c r="K13" i="2"/>
  <c r="L13" i="2" s="1"/>
  <c r="M19" i="2"/>
  <c r="W21" i="2"/>
  <c r="X21" i="2" s="1"/>
  <c r="T17" i="2" l="1"/>
  <c r="T16" i="2"/>
  <c r="T15" i="2"/>
  <c r="T14" i="2"/>
  <c r="T13" i="2"/>
  <c r="AE17" i="2"/>
  <c r="AE16" i="2"/>
  <c r="AA17" i="2"/>
  <c r="AA16" i="2"/>
  <c r="Q18" i="2"/>
  <c r="AG17" i="2"/>
  <c r="AD17" i="2"/>
  <c r="AB17" i="2"/>
  <c r="AC17" i="2" s="1"/>
  <c r="Z17" i="2"/>
  <c r="Y17" i="2"/>
  <c r="X17" i="2"/>
  <c r="V17" i="2"/>
  <c r="W17" i="2" s="1"/>
  <c r="S17" i="2"/>
  <c r="AG16" i="2"/>
  <c r="AD16" i="2"/>
  <c r="AB16" i="2"/>
  <c r="AC16" i="2" s="1"/>
  <c r="Z16" i="2"/>
  <c r="Y16" i="2"/>
  <c r="X16" i="2"/>
  <c r="W16" i="2"/>
  <c r="V16" i="2"/>
  <c r="S16" i="2"/>
  <c r="AG15" i="2"/>
  <c r="AD15" i="2"/>
  <c r="AE15" i="2" s="1"/>
  <c r="AB15" i="2"/>
  <c r="AC15" i="2" s="1"/>
  <c r="Z15" i="2"/>
  <c r="AA15" i="2" s="1"/>
  <c r="Y15" i="2"/>
  <c r="X15" i="2"/>
  <c r="W15" i="2"/>
  <c r="V15" i="2"/>
  <c r="S15" i="2"/>
  <c r="AG14" i="2"/>
  <c r="AD14" i="2"/>
  <c r="AE14" i="2" s="1"/>
  <c r="AB14" i="2"/>
  <c r="AC14" i="2" s="1"/>
  <c r="Z14" i="2"/>
  <c r="AA14" i="2" s="1"/>
  <c r="Y14" i="2"/>
  <c r="X14" i="2"/>
  <c r="V14" i="2"/>
  <c r="W14" i="2" s="1"/>
  <c r="S14" i="2"/>
  <c r="U16" i="2" l="1"/>
  <c r="AF16" i="2"/>
  <c r="U15" i="2"/>
  <c r="AF15" i="2"/>
  <c r="U17" i="2"/>
  <c r="AF17" i="2"/>
  <c r="U14" i="2"/>
  <c r="AF14" i="2"/>
  <c r="AI17" i="2" l="1"/>
  <c r="AI15" i="2"/>
  <c r="AI14" i="2"/>
  <c r="AA21" i="2" s="1"/>
  <c r="AI16" i="2"/>
  <c r="AB13" i="2"/>
  <c r="AC13" i="2" s="1"/>
  <c r="Y13" i="2"/>
  <c r="X13" i="2"/>
  <c r="S13" i="2"/>
  <c r="AG13" i="2"/>
  <c r="V13" i="2" l="1"/>
  <c r="W13" i="2" s="1"/>
  <c r="U13" i="2"/>
  <c r="AD13" i="2"/>
  <c r="AE13" i="2" s="1"/>
  <c r="Z13" i="2"/>
  <c r="AA13" i="2" s="1"/>
  <c r="AF13" i="2" l="1"/>
  <c r="AI13" i="2" s="1"/>
  <c r="Z21" i="2" s="1"/>
  <c r="AE21" i="2" s="1"/>
  <c r="AF21" i="2" l="1"/>
  <c r="AG21" i="2" s="1"/>
  <c r="AH21" i="2" s="1"/>
  <c r="AI21" i="2" s="1"/>
  <c r="AI18" i="2"/>
  <c r="AI19" i="2" s="1"/>
  <c r="AI23" i="2" l="1"/>
</calcChain>
</file>

<file path=xl/sharedStrings.xml><?xml version="1.0" encoding="utf-8"?>
<sst xmlns="http://schemas.openxmlformats.org/spreadsheetml/2006/main" count="126" uniqueCount="100">
  <si>
    <t>Multifamiliares</t>
  </si>
  <si>
    <t>Educación</t>
  </si>
  <si>
    <t>Obra nueva</t>
  </si>
  <si>
    <t>Destino de la obra</t>
  </si>
  <si>
    <t>Unifamiliar</t>
  </si>
  <si>
    <t>Pileta</t>
  </si>
  <si>
    <t>Tipo de obra</t>
  </si>
  <si>
    <t>m2</t>
  </si>
  <si>
    <t>V.R.U. CAAITBA (vigente)</t>
  </si>
  <si>
    <t>Alicuota</t>
  </si>
  <si>
    <t>Tasa de derecho de construcción</t>
  </si>
  <si>
    <t>Recargo</t>
  </si>
  <si>
    <t>Cumple código de edificación</t>
  </si>
  <si>
    <t>Cumple código de zonificación</t>
  </si>
  <si>
    <t>Obra existente</t>
  </si>
  <si>
    <t>¿Cumple con el código de edificación?</t>
  </si>
  <si>
    <t>¿Cumple con el código de zonificación?</t>
  </si>
  <si>
    <t>SI</t>
  </si>
  <si>
    <t>NO</t>
  </si>
  <si>
    <t>Polinómica superficie</t>
  </si>
  <si>
    <t>Polinómica UF</t>
  </si>
  <si>
    <t>Coeficiente polinómica</t>
  </si>
  <si>
    <t>Recargo por UF excedida</t>
  </si>
  <si>
    <t>Excepcion Unifamiliar</t>
  </si>
  <si>
    <t>Excepcion Unifamiliar_hasta80m2</t>
  </si>
  <si>
    <t>70% Unifamiliar</t>
  </si>
  <si>
    <t>120% Unifamiliar</t>
  </si>
  <si>
    <t>Suma de Tasa</t>
  </si>
  <si>
    <t>50% Multifamiliar</t>
  </si>
  <si>
    <t>CÁLCULO DE TASA DE DERECHOS DE CONSTRUCCIÓN</t>
  </si>
  <si>
    <t>Concepto: obra nueva</t>
  </si>
  <si>
    <t>(Seleccionar)</t>
  </si>
  <si>
    <t>CONTRIBUYENTE</t>
  </si>
  <si>
    <t>PROFESIONAL INTERVINIENTE</t>
  </si>
  <si>
    <t>OBRA UBICADA EN</t>
  </si>
  <si>
    <t>NOMENCLATURA CATASTRAL</t>
  </si>
  <si>
    <t>FECHA</t>
  </si>
  <si>
    <t>CIRC.:</t>
  </si>
  <si>
    <t>SECC.:</t>
  </si>
  <si>
    <t>FRACC.:</t>
  </si>
  <si>
    <t>MANZANA:</t>
  </si>
  <si>
    <t>PARCELA:</t>
  </si>
  <si>
    <t>U.F.:</t>
  </si>
  <si>
    <t>N°:</t>
  </si>
  <si>
    <t>PARTIDA MUNICIPAL:</t>
  </si>
  <si>
    <t>¿POSEE CND (CONSTRUCCIÓN NO DECLARADA)?</t>
  </si>
  <si>
    <t>NOTAS:</t>
  </si>
  <si>
    <t>EL PAGO DE LOS DERECHOS DE CONSTRUCCIÓN NO IMPLICA AUTORIZACIÓN DE COMIENZO DE OBRA NI APROBACIÓN DE PLANOS.</t>
  </si>
  <si>
    <t>A demoler</t>
  </si>
  <si>
    <t>Demolición ejecutada</t>
  </si>
  <si>
    <t>Unifamiliar (hasta 80m2)</t>
  </si>
  <si>
    <t>Salud y/o Culto</t>
  </si>
  <si>
    <t>Industrias y/o Depósitos</t>
  </si>
  <si>
    <t>Deportes y/o Recreación</t>
  </si>
  <si>
    <t>Modificaciones internas</t>
  </si>
  <si>
    <t>Cambio de techo</t>
  </si>
  <si>
    <t>Cambio de destino</t>
  </si>
  <si>
    <t>Infraestructura de barrios cerrados</t>
  </si>
  <si>
    <t>Bovedas o nichos en cementerios</t>
  </si>
  <si>
    <t>SUBTOTAL TASA DE DERECHO DE CONSTRUCCIÓN</t>
  </si>
  <si>
    <t>alicuota destino</t>
  </si>
  <si>
    <t>alicuota por tipo de obra</t>
  </si>
  <si>
    <t>Monto de obra</t>
  </si>
  <si>
    <t>(1) NO APLICA A VIVIENDA UNIFAMILIAR</t>
  </si>
  <si>
    <t xml:space="preserve">(2) APLICA ÚNICAMENTE A VIVIENDA MULTIFAMILIAR   </t>
  </si>
  <si>
    <t xml:space="preserve">(3) AL MOMENTO DE EMITIR LA BOLETA, SE LE SUMARÁ UN 10% AL TOTAL EN CONCEPTO DE TASA DE SEGURIDAD.       </t>
  </si>
  <si>
    <t>TOTAL (3)</t>
  </si>
  <si>
    <t>¿Cuántas UF se exceden con respecto a lo permitido? (2)</t>
  </si>
  <si>
    <t>¿Cuántos m2 se exceden de FOS ó de FOT ó de retiros? (1)</t>
  </si>
  <si>
    <t>2. Seleccionar el destino de la obra en el menú desplegable</t>
  </si>
  <si>
    <t>3. Seleccionar el tipo de obra en el menú desplegable</t>
  </si>
  <si>
    <t>4. Completar m2 a liquidar</t>
  </si>
  <si>
    <t>5. Completar el V.R.U. (vigente al momento de liquidar derechos) correspondiente al visado del colegio profesional y al destino consignado</t>
  </si>
  <si>
    <t xml:space="preserve">6. Automáticamente la planilla calculará el monto de obra, al cual se le aplicará la alícuota correspondiente y calculará la tasa de derecho de construcción </t>
  </si>
  <si>
    <t>7.  Indicar si cumple con el código de edificación</t>
  </si>
  <si>
    <t>8. Indicar si cumple con el código de zonificación</t>
  </si>
  <si>
    <t>9. En todos los casos (menos para vivienda unifamiliar) indicar si supera fos, fot o invade retiros</t>
  </si>
  <si>
    <t>10. Sólo si es vivienda multifamiliar, indicar si supera la cantidad de U.F. permitidas</t>
  </si>
  <si>
    <t>11. Automáticamente la planilla calculará los recargos correspondientes</t>
  </si>
  <si>
    <t>12. Indicar si la parcela posee CND (construcción no declarada)</t>
  </si>
  <si>
    <t>14. Abajo se indicará el total a liquidar, al cual el sistema al generar la boleta le sumará un 10%</t>
  </si>
  <si>
    <t>1. Completar los datos del titular, del profesional y de la parcela</t>
  </si>
  <si>
    <t>¿CÓMO COMPLETAR LA PLANILLA DE DERECHOS DE CONSTRUCCIÓN?</t>
  </si>
  <si>
    <t>EL PRESENTE FORMULARIO NO ES COMPROBANTE DE PAGO. EL MISMO RESPONDE A LO DISPUESTO POR LA ORDENANZA FISCAL Y TARIFARIA 2021</t>
  </si>
  <si>
    <t>SECRETARÍA GENERAL - SUBSECRETARÍA DE ARQUITECTURA Y DESARROLLO URBANO - DIRECCIÓN DE OBRAS PARTICULARES</t>
  </si>
  <si>
    <t>SUBTOTAL RECARGOS</t>
  </si>
  <si>
    <t xml:space="preserve">Anulación por obra nueva </t>
  </si>
  <si>
    <t>Anulación por demolición</t>
  </si>
  <si>
    <t>¿ABONA DE CONTADO?</t>
  </si>
  <si>
    <t>DESCUENTOS</t>
  </si>
  <si>
    <t>RECARGOS (COMPLETAR SOLO EN CASO DE OBRAS EXISTENTES)</t>
  </si>
  <si>
    <t>SI ES OBRA NUEVA O DEMOLICIÓN, PASAR DIRECTAMENTE AL PUNTO 13</t>
  </si>
  <si>
    <t>13. Seleccionar opción de descuento en caso de abonar de contado</t>
  </si>
  <si>
    <t>Comercios</t>
  </si>
  <si>
    <t>Oficinas</t>
  </si>
  <si>
    <t>Concepto: obras existentes por Ord. 21/20 (enero a marzo 2021 inclusive)</t>
  </si>
  <si>
    <t>Concepto:  obras existentes por Ord. 21/20 (abril a junio 2021 inclusive)</t>
  </si>
  <si>
    <t>Concepto:  obras existentes por Ord. 21/20 (julio a sept. 2021 inclusive)</t>
  </si>
  <si>
    <t>Concepto:  obras existentes por Ord. 21/20 (a partir de octubre 2021)</t>
  </si>
  <si>
    <t>PLANILLA DE LIQUIDACIÓN DE DERECHOS DE CONSTRUCCIÓN -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</si>
</sst>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\ * #.##0.00_-;\-&quot;$&quot;\ * #.##0.00_-;_-&quot;$&quot;\ * &quot;-&quot;??_-;_-@_-"/>
    <numFmt numFmtId="165" formatCode="_-[$$-2C0A]\ * #,##0.00_-;\-[$$-2C0A]\ * #,##0.00_-;_-[$$-2C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horizontal="left" vertical="center" wrapText="1"/>
    </xf>
    <xf numFmtId="9" fontId="2" fillId="0" borderId="0" xfId="0" applyNumberFormat="1" applyFont="1"/>
    <xf numFmtId="0" fontId="2" fillId="0" borderId="0" xfId="0" applyFont="1" applyAlignment="1">
      <alignment vertical="center"/>
    </xf>
    <xf numFmtId="9" fontId="2" fillId="0" borderId="0" xfId="2" applyFont="1" applyAlignment="1">
      <alignment vertical="center"/>
    </xf>
    <xf numFmtId="165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center" vertical="center"/>
    </xf>
    <xf numFmtId="10" fontId="5" fillId="0" borderId="1" xfId="2" applyNumberFormat="1" applyFont="1" applyFill="1" applyBorder="1" applyAlignment="1" applyProtection="1">
      <alignment horizontal="center" vertical="center"/>
    </xf>
    <xf numFmtId="10" fontId="2" fillId="0" borderId="1" xfId="2" applyNumberFormat="1" applyFont="1" applyFill="1" applyBorder="1" applyAlignment="1" applyProtection="1">
      <alignment horizontal="center" vertical="center"/>
    </xf>
    <xf numFmtId="44" fontId="2" fillId="0" borderId="1" xfId="1" applyFont="1" applyFill="1" applyBorder="1" applyAlignment="1" applyProtection="1">
      <alignment horizontal="center" vertical="center"/>
    </xf>
    <xf numFmtId="165" fontId="2" fillId="0" borderId="0" xfId="0" applyNumberFormat="1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0" fontId="3" fillId="2" borderId="1" xfId="2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vertical="center"/>
    </xf>
    <xf numFmtId="165" fontId="4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9" fontId="3" fillId="0" borderId="1" xfId="2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9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44" fontId="5" fillId="0" borderId="1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9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165" fontId="3" fillId="0" borderId="1" xfId="2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4610100</xdr:colOff>
      <xdr:row>0</xdr:row>
      <xdr:rowOff>104774</xdr:rowOff>
    </xdr:from>
    <xdr:to>
      <xdr:col>1</xdr:col>
      <xdr:colOff>823929</xdr:colOff>
      <xdr:row>0</xdr:row>
      <xdr:rowOff>1018759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4774"/>
          <a:ext cx="928704" cy="913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538370</xdr:colOff>
      <xdr:row>0</xdr:row>
      <xdr:rowOff>124239</xdr:rowOff>
    </xdr:from>
    <xdr:to>
      <xdr:col>12</xdr:col>
      <xdr:colOff>622248</xdr:colOff>
      <xdr:row>0</xdr:row>
      <xdr:rowOff>1043609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609" y="124239"/>
          <a:ext cx="928704" cy="91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A42" sqref="A42"/>
    </sheetView>
  </sheetViews>
  <sheetFormatPr baseColWidth="10" defaultColWidth="11.5703125" defaultRowHeight="11.25" x14ac:dyDescent="0.25"/>
  <cols>
    <col min="1" max="1" width="51.7109375" style="1" customWidth="1"/>
    <col min="2" max="2" width="7.28515625" style="1" customWidth="1"/>
    <col min="3" max="16384" width="11.5703125" style="1"/>
  </cols>
  <sheetData>
    <row r="1" spans="1:2" x14ac:dyDescent="0.25">
      <c r="A1" s="1" t="s">
        <v>31</v>
      </c>
      <c r="B1" s="1">
        <v>0</v>
      </c>
    </row>
    <row r="2" spans="1:2" x14ac:dyDescent="0.25">
      <c r="A2" s="1" t="s">
        <v>50</v>
      </c>
      <c r="B2" s="2">
        <v>7.4999999999999997E-3</v>
      </c>
    </row>
    <row r="3" spans="1:2" ht="22.5" x14ac:dyDescent="0.25">
      <c r="A3" s="1" t="s">
        <v>4</v>
      </c>
      <c r="B3" s="2">
        <v>0.01</v>
      </c>
    </row>
    <row r="4" spans="1:2" ht="33.75" x14ac:dyDescent="0.25">
      <c r="A4" s="1" t="s">
        <v>0</v>
      </c>
      <c r="B4" s="2">
        <v>1.4999999999999999E-2</v>
      </c>
    </row>
    <row r="5" spans="1:2" x14ac:dyDescent="0.25">
      <c r="A5" s="1" t="s">
        <v>1</v>
      </c>
      <c r="B5" s="2">
        <v>7.4999999999999997E-3</v>
      </c>
    </row>
    <row r="6" spans="1:2" x14ac:dyDescent="0.25">
      <c r="A6" s="1" t="s">
        <v>51</v>
      </c>
      <c r="B6" s="2">
        <v>0.01</v>
      </c>
    </row>
    <row r="7" spans="1:2" x14ac:dyDescent="0.25">
      <c r="A7" s="1" t="s">
        <v>93</v>
      </c>
      <c r="B7" s="2">
        <v>1.4999999999999999E-2</v>
      </c>
    </row>
    <row r="8" spans="1:2" x14ac:dyDescent="0.25">
      <c r="A8" s="1" t="s">
        <v>94</v>
      </c>
      <c r="B8" s="2">
        <v>1.4999999999999999E-2</v>
      </c>
    </row>
    <row r="9" spans="1:2" x14ac:dyDescent="0.25">
      <c r="A9" s="1" t="s">
        <v>52</v>
      </c>
      <c r="B9" s="2">
        <v>1.4999999999999999E-2</v>
      </c>
    </row>
    <row r="10" spans="1:2" x14ac:dyDescent="0.25">
      <c r="A10" s="1" t="s">
        <v>53</v>
      </c>
      <c r="B10" s="2">
        <v>1.4999999999999999E-2</v>
      </c>
    </row>
    <row r="11" spans="1:2" x14ac:dyDescent="0.25">
      <c r="A11" s="1" t="s">
        <v>5</v>
      </c>
      <c r="B11" s="2">
        <v>1.4999999999999999E-2</v>
      </c>
    </row>
    <row r="12" spans="1:2" x14ac:dyDescent="0.25">
      <c r="A12" s="1" t="s">
        <v>54</v>
      </c>
      <c r="B12" s="2">
        <v>0.01</v>
      </c>
    </row>
    <row r="13" spans="1:2" x14ac:dyDescent="0.25">
      <c r="A13" s="1" t="s">
        <v>55</v>
      </c>
      <c r="B13" s="2">
        <v>0.01</v>
      </c>
    </row>
    <row r="14" spans="1:2" x14ac:dyDescent="0.25">
      <c r="A14" s="1" t="s">
        <v>56</v>
      </c>
      <c r="B14" s="2">
        <v>0.01</v>
      </c>
    </row>
    <row r="15" spans="1:2" x14ac:dyDescent="0.25">
      <c r="A15" s="1" t="s">
        <v>57</v>
      </c>
      <c r="B15" s="2">
        <v>0.01</v>
      </c>
    </row>
    <row r="16" spans="1:2" x14ac:dyDescent="0.25">
      <c r="A16" s="1" t="s">
        <v>58</v>
      </c>
      <c r="B16" s="2">
        <v>0.01</v>
      </c>
    </row>
    <row r="18" spans="1:2" x14ac:dyDescent="0.25">
      <c r="A18" s="1" t="s">
        <v>31</v>
      </c>
      <c r="B18" s="1">
        <v>0</v>
      </c>
    </row>
    <row r="19" spans="1:2" x14ac:dyDescent="0.25">
      <c r="A19" s="1" t="s">
        <v>2</v>
      </c>
      <c r="B19" s="1">
        <v>0</v>
      </c>
    </row>
    <row r="20" spans="1:2" x14ac:dyDescent="0.25">
      <c r="A20" s="1" t="s">
        <v>14</v>
      </c>
      <c r="B20" s="1">
        <v>0</v>
      </c>
    </row>
    <row r="21" spans="1:2" x14ac:dyDescent="0.25">
      <c r="A21" s="1" t="s">
        <v>48</v>
      </c>
      <c r="B21" s="2">
        <v>0.01</v>
      </c>
    </row>
    <row r="22" spans="1:2" x14ac:dyDescent="0.25">
      <c r="A22" s="1" t="s">
        <v>49</v>
      </c>
      <c r="B22" s="2">
        <v>1.4999999999999999E-2</v>
      </c>
    </row>
    <row r="24" spans="1:2" x14ac:dyDescent="0.25">
      <c r="A24" s="1" t="s">
        <v>12</v>
      </c>
    </row>
    <row r="25" spans="1:2" x14ac:dyDescent="0.25">
      <c r="A25" s="1" t="s">
        <v>13</v>
      </c>
    </row>
    <row r="28" spans="1:2" x14ac:dyDescent="0.25">
      <c r="A28" s="1" t="s">
        <v>31</v>
      </c>
    </row>
    <row r="29" spans="1:2" x14ac:dyDescent="0.25">
      <c r="A29" s="1" t="s">
        <v>17</v>
      </c>
    </row>
    <row r="30" spans="1:2" x14ac:dyDescent="0.25">
      <c r="A30" s="1" t="s">
        <v>18</v>
      </c>
    </row>
    <row r="32" spans="1:2" x14ac:dyDescent="0.2">
      <c r="A32" s="1" t="s">
        <v>31</v>
      </c>
      <c r="B32" s="3">
        <v>0</v>
      </c>
    </row>
    <row r="33" spans="1:2" x14ac:dyDescent="0.25">
      <c r="A33" s="4" t="s">
        <v>30</v>
      </c>
      <c r="B33" s="5">
        <v>0.3</v>
      </c>
    </row>
    <row r="34" spans="1:2" x14ac:dyDescent="0.25">
      <c r="A34" s="4" t="s">
        <v>95</v>
      </c>
      <c r="B34" s="5">
        <v>0.3</v>
      </c>
    </row>
    <row r="35" spans="1:2" x14ac:dyDescent="0.25">
      <c r="A35" s="4" t="s">
        <v>96</v>
      </c>
      <c r="B35" s="5">
        <v>0.25</v>
      </c>
    </row>
    <row r="36" spans="1:2" x14ac:dyDescent="0.25">
      <c r="A36" s="4" t="s">
        <v>97</v>
      </c>
      <c r="B36" s="5">
        <v>0.15</v>
      </c>
    </row>
    <row r="37" spans="1:2" x14ac:dyDescent="0.25">
      <c r="A37" s="4" t="s">
        <v>98</v>
      </c>
      <c r="B37" s="5">
        <v>0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N9" sqref="N9"/>
    </sheetView>
  </sheetViews>
  <sheetFormatPr baseColWidth="10" defaultRowHeight="15" x14ac:dyDescent="0.25"/>
  <cols>
    <col min="1" max="1" width="70.7109375" style="28" customWidth="1"/>
    <col min="2" max="2" width="90.7109375" style="28" customWidth="1"/>
    <col min="3" max="16384" width="11.42578125" style="28"/>
  </cols>
  <sheetData>
    <row r="1" spans="1:2" ht="82.5" customHeight="1" x14ac:dyDescent="0.25">
      <c r="A1" s="55"/>
      <c r="B1" s="55"/>
    </row>
    <row r="2" spans="1:2" ht="27" customHeight="1" x14ac:dyDescent="0.25">
      <c r="A2" s="54" t="s">
        <v>82</v>
      </c>
      <c r="B2" s="54"/>
    </row>
    <row r="3" spans="1:2" s="30" customFormat="1" ht="20.100000000000001" customHeight="1" x14ac:dyDescent="0.25">
      <c r="A3" s="53" t="s">
        <v>81</v>
      </c>
      <c r="B3" s="53"/>
    </row>
    <row r="4" spans="1:2" s="30" customFormat="1" ht="20.100000000000001" customHeight="1" x14ac:dyDescent="0.25">
      <c r="A4" s="53" t="s">
        <v>69</v>
      </c>
      <c r="B4" s="53"/>
    </row>
    <row r="5" spans="1:2" s="30" customFormat="1" ht="20.100000000000001" customHeight="1" x14ac:dyDescent="0.25">
      <c r="A5" s="53" t="s">
        <v>70</v>
      </c>
      <c r="B5" s="53"/>
    </row>
    <row r="6" spans="1:2" s="30" customFormat="1" ht="20.100000000000001" customHeight="1" x14ac:dyDescent="0.25">
      <c r="A6" s="53" t="s">
        <v>71</v>
      </c>
      <c r="B6" s="53"/>
    </row>
    <row r="7" spans="1:2" s="30" customFormat="1" ht="20.100000000000001" customHeight="1" x14ac:dyDescent="0.25">
      <c r="A7" s="53" t="s">
        <v>72</v>
      </c>
      <c r="B7" s="53"/>
    </row>
    <row r="8" spans="1:2" s="30" customFormat="1" ht="20.100000000000001" customHeight="1" x14ac:dyDescent="0.25">
      <c r="A8" s="53" t="s">
        <v>73</v>
      </c>
      <c r="B8" s="53"/>
    </row>
    <row r="9" spans="1:2" s="30" customFormat="1" ht="20.100000000000001" customHeight="1" x14ac:dyDescent="0.25">
      <c r="A9" s="58" t="s">
        <v>91</v>
      </c>
      <c r="B9" s="59"/>
    </row>
    <row r="10" spans="1:2" s="30" customFormat="1" ht="20.100000000000001" customHeight="1" x14ac:dyDescent="0.25">
      <c r="A10" s="56" t="s">
        <v>74</v>
      </c>
      <c r="B10" s="57"/>
    </row>
    <row r="11" spans="1:2" s="30" customFormat="1" ht="20.100000000000001" customHeight="1" x14ac:dyDescent="0.25">
      <c r="A11" s="56" t="s">
        <v>75</v>
      </c>
      <c r="B11" s="57"/>
    </row>
    <row r="12" spans="1:2" s="30" customFormat="1" ht="20.100000000000001" customHeight="1" x14ac:dyDescent="0.25">
      <c r="A12" s="56" t="s">
        <v>76</v>
      </c>
      <c r="B12" s="57"/>
    </row>
    <row r="13" spans="1:2" s="30" customFormat="1" ht="20.100000000000001" customHeight="1" x14ac:dyDescent="0.25">
      <c r="A13" s="56" t="s">
        <v>77</v>
      </c>
      <c r="B13" s="57"/>
    </row>
    <row r="14" spans="1:2" s="30" customFormat="1" ht="20.100000000000001" customHeight="1" x14ac:dyDescent="0.25">
      <c r="A14" s="56" t="s">
        <v>78</v>
      </c>
      <c r="B14" s="57"/>
    </row>
    <row r="15" spans="1:2" s="30" customFormat="1" ht="20.100000000000001" customHeight="1" x14ac:dyDescent="0.25">
      <c r="A15" s="56" t="s">
        <v>79</v>
      </c>
      <c r="B15" s="57"/>
    </row>
    <row r="16" spans="1:2" s="30" customFormat="1" ht="20.100000000000001" customHeight="1" x14ac:dyDescent="0.25">
      <c r="A16" s="56" t="s">
        <v>92</v>
      </c>
      <c r="B16" s="57"/>
    </row>
    <row r="17" spans="1:2" s="30" customFormat="1" ht="20.100000000000001" customHeight="1" x14ac:dyDescent="0.25">
      <c r="A17" s="56" t="s">
        <v>80</v>
      </c>
      <c r="B17" s="57"/>
    </row>
    <row r="18" spans="1:2" s="30" customFormat="1" ht="11.25" x14ac:dyDescent="0.25">
      <c r="B18" s="31"/>
    </row>
    <row r="19" spans="1:2" x14ac:dyDescent="0.25">
      <c r="B19" s="29"/>
    </row>
    <row r="20" spans="1:2" x14ac:dyDescent="0.25">
      <c r="B20" s="29"/>
    </row>
    <row r="21" spans="1:2" x14ac:dyDescent="0.25">
      <c r="B21" s="29"/>
    </row>
    <row r="22" spans="1:2" x14ac:dyDescent="0.25">
      <c r="B22" s="29"/>
    </row>
    <row r="23" spans="1:2" x14ac:dyDescent="0.25">
      <c r="B23" s="29"/>
    </row>
    <row r="24" spans="1:2" x14ac:dyDescent="0.25">
      <c r="B24" s="29"/>
    </row>
    <row r="25" spans="1:2" x14ac:dyDescent="0.25">
      <c r="B25" s="29"/>
    </row>
    <row r="26" spans="1:2" x14ac:dyDescent="0.25">
      <c r="B26" s="29"/>
    </row>
    <row r="27" spans="1:2" x14ac:dyDescent="0.25">
      <c r="B27" s="29"/>
    </row>
    <row r="28" spans="1:2" x14ac:dyDescent="0.25">
      <c r="B28" s="29"/>
    </row>
    <row r="29" spans="1:2" x14ac:dyDescent="0.25">
      <c r="B29" s="29"/>
    </row>
    <row r="30" spans="1:2" x14ac:dyDescent="0.25">
      <c r="B30" s="29"/>
    </row>
    <row r="31" spans="1:2" x14ac:dyDescent="0.25">
      <c r="B31" s="29"/>
    </row>
    <row r="32" spans="1:2" x14ac:dyDescent="0.25">
      <c r="B32" s="29"/>
    </row>
  </sheetData>
  <sheetProtection algorithmName="SHA-512" hashValue="q9CIF/lN9jZ2lNOGqPd3RqafMwQfL1a1zATYc4/U76uJmqdw3syv2X0yd95ATUmeRSIAw1KsepbVWkTgKztUPA==" saltValue="t8SSHMeQAnC+fGzeWJI/Uw==" spinCount="100000" sheet="1" objects="1" scenarios="1" selectLockedCells="1"/>
  <mergeCells count="17">
    <mergeCell ref="A16:B16"/>
    <mergeCell ref="A17:B17"/>
    <mergeCell ref="A9:B9"/>
    <mergeCell ref="A10:B10"/>
    <mergeCell ref="A11:B11"/>
    <mergeCell ref="A12:B12"/>
    <mergeCell ref="A13:B13"/>
    <mergeCell ref="A14:B14"/>
    <mergeCell ref="A15:B15"/>
    <mergeCell ref="A7:B7"/>
    <mergeCell ref="A8:B8"/>
    <mergeCell ref="A2:B2"/>
    <mergeCell ref="A1:B1"/>
    <mergeCell ref="A3:B3"/>
    <mergeCell ref="A4:B4"/>
    <mergeCell ref="A5:B5"/>
    <mergeCell ref="A6:B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zoomScale="115" zoomScaleNormal="115" workbookViewId="0">
      <selection activeCell="O13" sqref="O13"/>
    </sheetView>
  </sheetViews>
  <sheetFormatPr baseColWidth="10" defaultColWidth="11.5703125" defaultRowHeight="11.25" x14ac:dyDescent="0.25"/>
  <cols>
    <col min="1" max="1" width="20.7109375" style="34" customWidth="1"/>
    <col min="2" max="5" width="10.7109375" style="34" customWidth="1"/>
    <col min="6" max="6" width="12.7109375" style="34" customWidth="1"/>
    <col min="7" max="11" width="12.7109375" style="34" hidden="1" customWidth="1"/>
    <col min="12" max="13" width="12.7109375" style="34" customWidth="1"/>
    <col min="14" max="17" width="15.7109375" style="34" customWidth="1"/>
    <col min="18" max="20" width="15.7109375" style="34" hidden="1" customWidth="1"/>
    <col min="21" max="34" width="10.7109375" style="34" hidden="1" customWidth="1"/>
    <col min="35" max="35" width="15.7109375" style="34" customWidth="1"/>
    <col min="36" max="16384" width="11.5703125" style="34"/>
  </cols>
  <sheetData>
    <row r="1" spans="1:36" ht="85.5" customHeigh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6" ht="15" customHeight="1" x14ac:dyDescent="0.25">
      <c r="A2" s="80" t="s">
        <v>84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6" ht="15" customHeight="1" x14ac:dyDescent="0.25">
      <c r="A3" s="80" t="s">
        <v>99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</row>
    <row r="4" spans="1:36" ht="1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</row>
    <row r="5" spans="1:36" ht="15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8" t="s">
        <v>36</v>
      </c>
      <c r="AI5" s="27"/>
    </row>
    <row r="6" spans="1:36" ht="15" customHeight="1" x14ac:dyDescent="0.25">
      <c r="A6" s="9" t="s">
        <v>32</v>
      </c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</row>
    <row r="7" spans="1:36" ht="15" customHeight="1" x14ac:dyDescent="0.25">
      <c r="A7" s="9" t="s">
        <v>33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6" ht="15" customHeight="1" x14ac:dyDescent="0.25">
      <c r="A8" s="9" t="s">
        <v>34</v>
      </c>
      <c r="B8" s="71"/>
      <c r="C8" s="72"/>
      <c r="D8" s="72"/>
      <c r="E8" s="72"/>
      <c r="F8" s="72"/>
      <c r="G8" s="72"/>
      <c r="H8" s="72"/>
      <c r="I8" s="72"/>
      <c r="J8" s="72"/>
      <c r="K8" s="72"/>
      <c r="L8" s="73"/>
      <c r="M8" s="10" t="s">
        <v>43</v>
      </c>
      <c r="N8" s="107"/>
      <c r="O8" s="10" t="s">
        <v>44</v>
      </c>
      <c r="P8" s="104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6"/>
    </row>
    <row r="9" spans="1:36" ht="15" customHeight="1" x14ac:dyDescent="0.25">
      <c r="A9" s="9" t="s">
        <v>35</v>
      </c>
      <c r="B9" s="10" t="s">
        <v>37</v>
      </c>
      <c r="C9" s="37"/>
      <c r="D9" s="10" t="s">
        <v>38</v>
      </c>
      <c r="E9" s="37"/>
      <c r="F9" s="10" t="s">
        <v>39</v>
      </c>
      <c r="G9" s="35"/>
      <c r="H9" s="35"/>
      <c r="I9" s="35"/>
      <c r="J9" s="35"/>
      <c r="K9" s="35"/>
      <c r="L9" s="37"/>
      <c r="M9" s="10" t="s">
        <v>40</v>
      </c>
      <c r="N9" s="37"/>
      <c r="O9" s="10" t="s">
        <v>41</v>
      </c>
      <c r="P9" s="37"/>
      <c r="Q9" s="10" t="s">
        <v>42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10"/>
      <c r="AH9" s="10"/>
      <c r="AI9" s="37"/>
    </row>
    <row r="10" spans="1:36" ht="20.100000000000001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6" ht="30" customHeight="1" x14ac:dyDescent="0.25">
      <c r="A11" s="70" t="s">
        <v>29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4" t="s">
        <v>90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</row>
    <row r="12" spans="1:36" s="11" customFormat="1" ht="30" customHeight="1" x14ac:dyDescent="0.25">
      <c r="A12" s="36" t="s">
        <v>3</v>
      </c>
      <c r="B12" s="75" t="s">
        <v>6</v>
      </c>
      <c r="C12" s="75"/>
      <c r="D12" s="36" t="s">
        <v>7</v>
      </c>
      <c r="E12" s="36" t="s">
        <v>8</v>
      </c>
      <c r="F12" s="36" t="s">
        <v>62</v>
      </c>
      <c r="G12" s="42" t="s">
        <v>60</v>
      </c>
      <c r="H12" s="43" t="s">
        <v>61</v>
      </c>
      <c r="I12" s="43"/>
      <c r="J12" s="43"/>
      <c r="K12" s="43"/>
      <c r="L12" s="36" t="s">
        <v>9</v>
      </c>
      <c r="M12" s="36" t="s">
        <v>10</v>
      </c>
      <c r="N12" s="12" t="s">
        <v>15</v>
      </c>
      <c r="O12" s="12" t="s">
        <v>16</v>
      </c>
      <c r="P12" s="12" t="s">
        <v>68</v>
      </c>
      <c r="Q12" s="12" t="s">
        <v>67</v>
      </c>
      <c r="R12" s="44" t="s">
        <v>21</v>
      </c>
      <c r="S12" s="44" t="s">
        <v>23</v>
      </c>
      <c r="T12" s="44" t="s">
        <v>24</v>
      </c>
      <c r="U12" s="44" t="s">
        <v>19</v>
      </c>
      <c r="V12" s="44" t="s">
        <v>20</v>
      </c>
      <c r="W12" s="44" t="s">
        <v>22</v>
      </c>
      <c r="X12" s="45">
        <v>0.3</v>
      </c>
      <c r="Y12" s="45">
        <v>0.5</v>
      </c>
      <c r="Z12" s="94" t="s">
        <v>25</v>
      </c>
      <c r="AA12" s="94"/>
      <c r="AB12" s="94" t="s">
        <v>28</v>
      </c>
      <c r="AC12" s="94"/>
      <c r="AD12" s="94" t="s">
        <v>26</v>
      </c>
      <c r="AE12" s="94"/>
      <c r="AF12" s="44" t="s">
        <v>27</v>
      </c>
      <c r="AG12" s="44" t="s">
        <v>86</v>
      </c>
      <c r="AH12" s="44" t="s">
        <v>87</v>
      </c>
      <c r="AI12" s="12" t="s">
        <v>11</v>
      </c>
    </row>
    <row r="13" spans="1:36" ht="20.100000000000001" customHeight="1" x14ac:dyDescent="0.25">
      <c r="A13" s="37" t="s">
        <v>31</v>
      </c>
      <c r="B13" s="76" t="s">
        <v>31</v>
      </c>
      <c r="C13" s="76"/>
      <c r="D13" s="37">
        <v>0</v>
      </c>
      <c r="E13" s="6">
        <v>0</v>
      </c>
      <c r="F13" s="13">
        <f>+D13*E13</f>
        <v>0</v>
      </c>
      <c r="G13" s="14">
        <f>+VLOOKUP(A13,Hoja1!A1:B16,2,0)</f>
        <v>0</v>
      </c>
      <c r="H13" s="14">
        <f>+VLOOKUP(B13,Hoja1!A18:B22,2,0)</f>
        <v>0</v>
      </c>
      <c r="I13" s="14">
        <f>IF(AND(B13="demolición ejecutada",G13&lt;1.5%),1.5%,G13)</f>
        <v>0</v>
      </c>
      <c r="J13" s="14">
        <f>IF(AND(B13="a demoler",I13=1.5%),1%,I13)</f>
        <v>0</v>
      </c>
      <c r="K13" s="14">
        <f>IF(AND(B13="a demoler",J13=0.75%),1%,J13)</f>
        <v>0</v>
      </c>
      <c r="L13" s="15">
        <f>+K13</f>
        <v>0</v>
      </c>
      <c r="M13" s="13">
        <f>+F13*G13</f>
        <v>0</v>
      </c>
      <c r="N13" s="37" t="s">
        <v>31</v>
      </c>
      <c r="O13" s="37" t="s">
        <v>31</v>
      </c>
      <c r="P13" s="38"/>
      <c r="Q13" s="37"/>
      <c r="R13" s="46">
        <f>IF(OR(A13="Multifamiliares",A13="Oficinas"),0.25,0.1)</f>
        <v>0.1</v>
      </c>
      <c r="S13" s="46">
        <f>IF((A13="unifamiliar"),0,1)</f>
        <v>1</v>
      </c>
      <c r="T13" s="46">
        <f>IF((A13="Unifamiliar (hasta 80m2)"),0,1)</f>
        <v>1</v>
      </c>
      <c r="U13" s="47">
        <f>+R13*P13*E13*S13*T13</f>
        <v>0</v>
      </c>
      <c r="V13" s="47">
        <f>+Q13*E13*5</f>
        <v>0</v>
      </c>
      <c r="W13" s="48">
        <f>+IF(A13="Multifamiliares",V13,0)</f>
        <v>0</v>
      </c>
      <c r="X13" s="46">
        <f>IF(AND(N13="SI",O13="SI"),30,0)</f>
        <v>0</v>
      </c>
      <c r="Y13" s="46">
        <f>IF(AND(N13="No",O13="SI"),50,0)</f>
        <v>0</v>
      </c>
      <c r="Z13" s="46">
        <f>IF(AND(N13="SI",O13="NO"),70,0)</f>
        <v>0</v>
      </c>
      <c r="AA13" s="46">
        <f>IF(OR(A13="unifamiliar",A13="Unifamiliar (hasta 80m2)"),Z13,0)</f>
        <v>0</v>
      </c>
      <c r="AB13" s="46">
        <f>IF(AND(N13="NO",O13="NO"),50,0)</f>
        <v>0</v>
      </c>
      <c r="AC13" s="46">
        <f>IF(OR(A13="unifamiliar",A13="Unifamiliar (hasta 80m2)"),0,AB13)</f>
        <v>0</v>
      </c>
      <c r="AD13" s="46">
        <f>IF(AND(N13="NO",O13="NO"),120,0)</f>
        <v>0</v>
      </c>
      <c r="AE13" s="46">
        <f>IF(OR(A13="unifamiliar",A13="Unifamiliar (hasta 80m2)"),AD13,0)</f>
        <v>0</v>
      </c>
      <c r="AF13" s="46">
        <f>+X13+Y13+AA13+AE13+AC13</f>
        <v>0</v>
      </c>
      <c r="AG13" s="46">
        <f>IF((B13="obra nueva"),0,1)</f>
        <v>1</v>
      </c>
      <c r="AH13" s="46">
        <f>IF(OR(B13="a demoler",B13="demolición ejecutada"),0,1)</f>
        <v>1</v>
      </c>
      <c r="AI13" s="13">
        <f>((AF13*M13/100)+U13+W13)*AG13*AH13</f>
        <v>0</v>
      </c>
      <c r="AJ13" s="17"/>
    </row>
    <row r="14" spans="1:36" ht="20.100000000000001" customHeight="1" x14ac:dyDescent="0.25">
      <c r="A14" s="37" t="s">
        <v>31</v>
      </c>
      <c r="B14" s="76" t="s">
        <v>31</v>
      </c>
      <c r="C14" s="76"/>
      <c r="D14" s="37">
        <v>0</v>
      </c>
      <c r="E14" s="6">
        <v>0</v>
      </c>
      <c r="F14" s="13">
        <f>+D14*E14</f>
        <v>0</v>
      </c>
      <c r="G14" s="14">
        <f>+VLOOKUP(A14,Hoja1!A1:B16,2,0)</f>
        <v>0</v>
      </c>
      <c r="H14" s="14">
        <f>+VLOOKUP(B14,Hoja1!A18:B22,2,0)</f>
        <v>0</v>
      </c>
      <c r="I14" s="14">
        <f t="shared" ref="I14:I17" si="0">IF(AND(B14="demolición ejecutada",G14&lt;1.5%),1.5%,G14)</f>
        <v>0</v>
      </c>
      <c r="J14" s="14">
        <f t="shared" ref="J14:J17" si="1">IF(AND(B14="a demoler",I14=1.5%),1%,I14)</f>
        <v>0</v>
      </c>
      <c r="K14" s="14">
        <f>IF(AND(B14="a demoler",J14=0.75%),1%,J14)</f>
        <v>0</v>
      </c>
      <c r="L14" s="15">
        <f t="shared" ref="L14:L17" si="2">+K14</f>
        <v>0</v>
      </c>
      <c r="M14" s="13">
        <f>+F14*G14</f>
        <v>0</v>
      </c>
      <c r="N14" s="37" t="s">
        <v>31</v>
      </c>
      <c r="O14" s="37" t="s">
        <v>31</v>
      </c>
      <c r="P14" s="37"/>
      <c r="Q14" s="37"/>
      <c r="R14" s="46">
        <f>IF(OR(A14="Multifamiliares",A14="Oficinas"),0.25,0.1)</f>
        <v>0.1</v>
      </c>
      <c r="S14" s="46">
        <f>IF((A14="unifamiliar"),0,1)</f>
        <v>1</v>
      </c>
      <c r="T14" s="46">
        <f>IF((A14="Unifamiliar (hasta 80m2)"),0,1)</f>
        <v>1</v>
      </c>
      <c r="U14" s="47">
        <f>+R14*P14*E14*S14*T14</f>
        <v>0</v>
      </c>
      <c r="V14" s="47">
        <f>+Q14*E14*5</f>
        <v>0</v>
      </c>
      <c r="W14" s="48">
        <f>+IF(A14="Multifamiliares",V14,0)</f>
        <v>0</v>
      </c>
      <c r="X14" s="46">
        <f t="shared" ref="X14:X17" si="3">IF(AND(N14="SI",O14="SI"),30,0)</f>
        <v>0</v>
      </c>
      <c r="Y14" s="46">
        <f t="shared" ref="Y14:Y17" si="4">IF(AND(N14="No",O14="SI"),50,0)</f>
        <v>0</v>
      </c>
      <c r="Z14" s="46">
        <f t="shared" ref="Z14:Z17" si="5">IF(AND(N14="SI",O14="NO"),70,0)</f>
        <v>0</v>
      </c>
      <c r="AA14" s="46">
        <f>IF(OR(A14="unifamiliar",A14="Unifamiliar (hasta 80m2)"),Z14,0)</f>
        <v>0</v>
      </c>
      <c r="AB14" s="46">
        <f t="shared" ref="AB14:AB17" si="6">IF(AND(N14="NO",O14="NO"),50,0)</f>
        <v>0</v>
      </c>
      <c r="AC14" s="46">
        <f>IF(OR(A14="unifamiliar",A14="Unifamiliar (hasta 80m2)"),0,AB14)</f>
        <v>0</v>
      </c>
      <c r="AD14" s="46">
        <f t="shared" ref="AD14:AD17" si="7">IF(AND(N14="NO",O14="NO"),120,0)</f>
        <v>0</v>
      </c>
      <c r="AE14" s="46">
        <f>IF(OR(A14="unifamiliar",A14="Unifamiliar (hasta 80m2)"),AD14,0)</f>
        <v>0</v>
      </c>
      <c r="AF14" s="46">
        <f t="shared" ref="AF14:AF17" si="8">+X14+Y14+AA14+AE14+AC14</f>
        <v>0</v>
      </c>
      <c r="AG14" s="46">
        <f>IF((B14="obra nueva"),0,1)</f>
        <v>1</v>
      </c>
      <c r="AH14" s="46">
        <f t="shared" ref="AH14:AH17" si="9">IF(OR(B14="a demoler",B14="demolición ejecutada"),0,1)</f>
        <v>1</v>
      </c>
      <c r="AI14" s="13">
        <f t="shared" ref="AI14:AI17" si="10">((AF14*M14/100)+U14+W14)*AG14*AH14</f>
        <v>0</v>
      </c>
    </row>
    <row r="15" spans="1:36" ht="20.100000000000001" customHeight="1" x14ac:dyDescent="0.25">
      <c r="A15" s="37" t="s">
        <v>31</v>
      </c>
      <c r="B15" s="76" t="s">
        <v>31</v>
      </c>
      <c r="C15" s="76"/>
      <c r="D15" s="37">
        <v>0</v>
      </c>
      <c r="E15" s="6">
        <v>0</v>
      </c>
      <c r="F15" s="13">
        <f>+D15*E15</f>
        <v>0</v>
      </c>
      <c r="G15" s="14">
        <f>+VLOOKUP(A15,Hoja1!A1:B16,2,0)</f>
        <v>0</v>
      </c>
      <c r="H15" s="14">
        <f>+VLOOKUP(B15,Hoja1!A18:B22,2,0)</f>
        <v>0</v>
      </c>
      <c r="I15" s="14">
        <f t="shared" si="0"/>
        <v>0</v>
      </c>
      <c r="J15" s="14">
        <f t="shared" si="1"/>
        <v>0</v>
      </c>
      <c r="K15" s="14">
        <f>IF(AND(B15="a demoler",J15=0.75%),1%,J15)</f>
        <v>0</v>
      </c>
      <c r="L15" s="15">
        <f t="shared" si="2"/>
        <v>0</v>
      </c>
      <c r="M15" s="13">
        <f>+F15*G15</f>
        <v>0</v>
      </c>
      <c r="N15" s="37" t="s">
        <v>31</v>
      </c>
      <c r="O15" s="37" t="s">
        <v>31</v>
      </c>
      <c r="P15" s="37"/>
      <c r="Q15" s="37"/>
      <c r="R15" s="46">
        <f>IF(OR(A15="Multifamiliares",A15="Oficinas"),0.25,0.1)</f>
        <v>0.1</v>
      </c>
      <c r="S15" s="46">
        <f>IF((A15="unifamiliar"),0,1)</f>
        <v>1</v>
      </c>
      <c r="T15" s="46">
        <f>IF((A15="Unifamiliar (hasta 80m2)"),0,1)</f>
        <v>1</v>
      </c>
      <c r="U15" s="47">
        <f>+R15*P15*E15*S15*T15</f>
        <v>0</v>
      </c>
      <c r="V15" s="47">
        <f>+Q15*E15*5</f>
        <v>0</v>
      </c>
      <c r="W15" s="48">
        <f>+IF(A15="Multifamiliares",V15,0)</f>
        <v>0</v>
      </c>
      <c r="X15" s="46">
        <f t="shared" si="3"/>
        <v>0</v>
      </c>
      <c r="Y15" s="46">
        <f t="shared" si="4"/>
        <v>0</v>
      </c>
      <c r="Z15" s="46">
        <f t="shared" si="5"/>
        <v>0</v>
      </c>
      <c r="AA15" s="46">
        <f>IF(OR(A15="unifamiliar",A15="Unifamiliar (hasta 80m2)"),Z15,0)</f>
        <v>0</v>
      </c>
      <c r="AB15" s="46">
        <f t="shared" si="6"/>
        <v>0</v>
      </c>
      <c r="AC15" s="46">
        <f>IF(OR(A15="unifamiliar",A15="Unifamiliar (hasta 80m2)"),0,AB15)</f>
        <v>0</v>
      </c>
      <c r="AD15" s="46">
        <f t="shared" si="7"/>
        <v>0</v>
      </c>
      <c r="AE15" s="46">
        <f>IF(OR(A15="unifamiliar",A15="Unifamiliar (hasta 80m2)"),AD15,0)</f>
        <v>0</v>
      </c>
      <c r="AF15" s="46">
        <f t="shared" si="8"/>
        <v>0</v>
      </c>
      <c r="AG15" s="46">
        <f>IF((B15="obra nueva"),0,1)</f>
        <v>1</v>
      </c>
      <c r="AH15" s="46">
        <f t="shared" si="9"/>
        <v>1</v>
      </c>
      <c r="AI15" s="13">
        <f t="shared" si="10"/>
        <v>0</v>
      </c>
    </row>
    <row r="16" spans="1:36" ht="20.100000000000001" customHeight="1" x14ac:dyDescent="0.25">
      <c r="A16" s="37" t="s">
        <v>31</v>
      </c>
      <c r="B16" s="76" t="s">
        <v>31</v>
      </c>
      <c r="C16" s="76"/>
      <c r="D16" s="37">
        <v>0</v>
      </c>
      <c r="E16" s="6">
        <v>0</v>
      </c>
      <c r="F16" s="13">
        <f>+D16*E16</f>
        <v>0</v>
      </c>
      <c r="G16" s="14">
        <f>+VLOOKUP(A16,Hoja1!A1:B16,2,0)</f>
        <v>0</v>
      </c>
      <c r="H16" s="14">
        <f>+VLOOKUP(B16,Hoja1!A18:B22,2,0)</f>
        <v>0</v>
      </c>
      <c r="I16" s="14">
        <f t="shared" si="0"/>
        <v>0</v>
      </c>
      <c r="J16" s="14">
        <f t="shared" si="1"/>
        <v>0</v>
      </c>
      <c r="K16" s="14">
        <f>IF(AND(B16="a demoler",J16=0.75%),1%,J16)</f>
        <v>0</v>
      </c>
      <c r="L16" s="15">
        <f t="shared" si="2"/>
        <v>0</v>
      </c>
      <c r="M16" s="13">
        <f>+F16*G16</f>
        <v>0</v>
      </c>
      <c r="N16" s="37" t="s">
        <v>31</v>
      </c>
      <c r="O16" s="37" t="s">
        <v>31</v>
      </c>
      <c r="P16" s="37"/>
      <c r="Q16" s="37"/>
      <c r="R16" s="46">
        <f>IF(OR(A16="Multifamiliares",A16="Oficinas"),0.25,0.1)</f>
        <v>0.1</v>
      </c>
      <c r="S16" s="46">
        <f>IF((A16="unifamiliar"),0,1)</f>
        <v>1</v>
      </c>
      <c r="T16" s="46">
        <f>IF((A16="Unifamiliar (hasta 80m2)"),0,1)</f>
        <v>1</v>
      </c>
      <c r="U16" s="47">
        <f>+R16*P16*E16*S16*T16</f>
        <v>0</v>
      </c>
      <c r="V16" s="47">
        <f>+Q16*E16*5</f>
        <v>0</v>
      </c>
      <c r="W16" s="48">
        <f>+IF(A16="Multifamiliares",V16,0)</f>
        <v>0</v>
      </c>
      <c r="X16" s="46">
        <f t="shared" si="3"/>
        <v>0</v>
      </c>
      <c r="Y16" s="46">
        <f t="shared" si="4"/>
        <v>0</v>
      </c>
      <c r="Z16" s="46">
        <f t="shared" si="5"/>
        <v>0</v>
      </c>
      <c r="AA16" s="46">
        <f>IF(OR(A16="unifamiliar",A16="Unifamiliar (hasta 80m2)"),Z16,0)</f>
        <v>0</v>
      </c>
      <c r="AB16" s="46">
        <f t="shared" si="6"/>
        <v>0</v>
      </c>
      <c r="AC16" s="46">
        <f>IF(OR(A16="unifamiliar",A16="Unifamiliar (hasta 80m2)"),0,AB16)</f>
        <v>0</v>
      </c>
      <c r="AD16" s="46">
        <f t="shared" si="7"/>
        <v>0</v>
      </c>
      <c r="AE16" s="46">
        <f>IF(OR(A16="unifamiliar",A16="Unifamiliar (hasta 80m2)"),AD16,0)</f>
        <v>0</v>
      </c>
      <c r="AF16" s="46">
        <f t="shared" si="8"/>
        <v>0</v>
      </c>
      <c r="AG16" s="46">
        <f>IF((B16="obra nueva"),0,1)</f>
        <v>1</v>
      </c>
      <c r="AH16" s="46">
        <f t="shared" si="9"/>
        <v>1</v>
      </c>
      <c r="AI16" s="13">
        <f t="shared" si="10"/>
        <v>0</v>
      </c>
    </row>
    <row r="17" spans="1:35" ht="20.100000000000001" customHeight="1" x14ac:dyDescent="0.25">
      <c r="A17" s="37" t="s">
        <v>31</v>
      </c>
      <c r="B17" s="76" t="s">
        <v>31</v>
      </c>
      <c r="C17" s="76"/>
      <c r="D17" s="37">
        <v>0</v>
      </c>
      <c r="E17" s="6">
        <v>0</v>
      </c>
      <c r="F17" s="13">
        <f>+D17*E17</f>
        <v>0</v>
      </c>
      <c r="G17" s="14">
        <f>+VLOOKUP(A17,Hoja1!A1:B16,2,0)</f>
        <v>0</v>
      </c>
      <c r="H17" s="14">
        <f>+VLOOKUP(B17,Hoja1!A18:B22,2,0)</f>
        <v>0</v>
      </c>
      <c r="I17" s="14">
        <f t="shared" si="0"/>
        <v>0</v>
      </c>
      <c r="J17" s="14">
        <f t="shared" si="1"/>
        <v>0</v>
      </c>
      <c r="K17" s="14">
        <f>IF(AND(B17="a demoler",J17=0.75%),1%,J17)</f>
        <v>0</v>
      </c>
      <c r="L17" s="15">
        <f t="shared" si="2"/>
        <v>0</v>
      </c>
      <c r="M17" s="13">
        <f>+F17*G17</f>
        <v>0</v>
      </c>
      <c r="N17" s="37" t="s">
        <v>31</v>
      </c>
      <c r="O17" s="37" t="s">
        <v>31</v>
      </c>
      <c r="P17" s="37"/>
      <c r="Q17" s="37"/>
      <c r="R17" s="46">
        <f>IF(OR(A17="Multifamiliares",A17="Oficinas"),0.25,0.1)</f>
        <v>0.1</v>
      </c>
      <c r="S17" s="46">
        <f>IF((A17="unifamiliar"),0,1)</f>
        <v>1</v>
      </c>
      <c r="T17" s="46">
        <f>IF((A17="Unifamiliar (hasta 80m2)"),0,1)</f>
        <v>1</v>
      </c>
      <c r="U17" s="47">
        <f>+R17*P17*E17*S17*T17</f>
        <v>0</v>
      </c>
      <c r="V17" s="47">
        <f>+Q17*E17*5</f>
        <v>0</v>
      </c>
      <c r="W17" s="48">
        <f>+IF(A17="Multifamiliares",V17,0)</f>
        <v>0</v>
      </c>
      <c r="X17" s="46">
        <f t="shared" si="3"/>
        <v>0</v>
      </c>
      <c r="Y17" s="46">
        <f t="shared" si="4"/>
        <v>0</v>
      </c>
      <c r="Z17" s="46">
        <f t="shared" si="5"/>
        <v>0</v>
      </c>
      <c r="AA17" s="46">
        <f>IF(OR(A17="unifamiliar",A17="Unifamiliar (hasta 80m2)"),Z17,0)</f>
        <v>0</v>
      </c>
      <c r="AB17" s="46">
        <f t="shared" si="6"/>
        <v>0</v>
      </c>
      <c r="AC17" s="46">
        <f>IF(OR(A17="unifamiliar",A17="Unifamiliar (hasta 80m2)"),0,AB17)</f>
        <v>0</v>
      </c>
      <c r="AD17" s="46">
        <f t="shared" si="7"/>
        <v>0</v>
      </c>
      <c r="AE17" s="46">
        <f>IF(OR(A17="unifamiliar",A17="Unifamiliar (hasta 80m2)"),AD17,0)</f>
        <v>0</v>
      </c>
      <c r="AF17" s="46">
        <f t="shared" si="8"/>
        <v>0</v>
      </c>
      <c r="AG17" s="46">
        <f>IF((B17="obra nueva"),0,1)</f>
        <v>1</v>
      </c>
      <c r="AH17" s="46">
        <f t="shared" si="9"/>
        <v>1</v>
      </c>
      <c r="AI17" s="13">
        <f t="shared" si="10"/>
        <v>0</v>
      </c>
    </row>
    <row r="18" spans="1:35" ht="20.100000000000001" customHeight="1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2" t="s">
        <v>45</v>
      </c>
      <c r="O18" s="83"/>
      <c r="P18" s="7" t="s">
        <v>31</v>
      </c>
      <c r="Q18" s="19">
        <f>IF(P18="SI",0.8,0)</f>
        <v>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0">
        <f>SUM(AI13:AI17)*Q18</f>
        <v>0</v>
      </c>
    </row>
    <row r="19" spans="1:35" ht="20.100000000000001" customHeight="1" x14ac:dyDescent="0.25">
      <c r="A19" s="70" t="s">
        <v>59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21">
        <f>SUM(M13:M18)</f>
        <v>0</v>
      </c>
      <c r="N19" s="74" t="s">
        <v>85</v>
      </c>
      <c r="O19" s="74"/>
      <c r="P19" s="74"/>
      <c r="Q19" s="74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2">
        <f>SUM(AI13:AI18)</f>
        <v>0</v>
      </c>
    </row>
    <row r="20" spans="1:35" ht="19.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 ht="19.5" customHeight="1" x14ac:dyDescent="0.25">
      <c r="A21" s="87" t="s">
        <v>89</v>
      </c>
      <c r="B21" s="88"/>
      <c r="C21" s="88"/>
      <c r="D21" s="88"/>
      <c r="E21" s="89"/>
      <c r="F21" s="84" t="s">
        <v>88</v>
      </c>
      <c r="G21" s="85"/>
      <c r="H21" s="85"/>
      <c r="I21" s="85"/>
      <c r="J21" s="85"/>
      <c r="K21" s="85"/>
      <c r="L21" s="86"/>
      <c r="M21" s="40" t="s">
        <v>31</v>
      </c>
      <c r="N21" s="99" t="s">
        <v>31</v>
      </c>
      <c r="O21" s="99"/>
      <c r="P21" s="99"/>
      <c r="Q21" s="41">
        <f>VLOOKUP(N21,Hoja1!A32:B37,2,0)</f>
        <v>0</v>
      </c>
      <c r="R21" s="46">
        <f>IF(B13="obra nueva",M13,0)</f>
        <v>0</v>
      </c>
      <c r="S21" s="46">
        <f>IF(B14="obra nueva",M14,0)</f>
        <v>0</v>
      </c>
      <c r="T21" s="46">
        <f>IF(B15="obra nueva",M15,0)</f>
        <v>0</v>
      </c>
      <c r="U21" s="46">
        <f>IF(B16="obra nueva",M16,0)</f>
        <v>0</v>
      </c>
      <c r="V21" s="46">
        <f>IF(B17="obra nueva",M17,0)</f>
        <v>0</v>
      </c>
      <c r="W21" s="46">
        <f>SUM(R21:V21)</f>
        <v>0</v>
      </c>
      <c r="X21" s="49">
        <f>IF(N21="Concepto: obra nueva",W21,0)</f>
        <v>0</v>
      </c>
      <c r="Y21" s="50"/>
      <c r="Z21" s="46">
        <f>IF(B13="obra existente",M13+AI13,0)</f>
        <v>0</v>
      </c>
      <c r="AA21" s="46">
        <f>IF(B14="obra existente",M14+AI14,0)</f>
        <v>0</v>
      </c>
      <c r="AB21" s="46">
        <f>IF(B15="obra existente",M15+AI15,0)</f>
        <v>0</v>
      </c>
      <c r="AC21" s="46">
        <f>IF(B16="obra existente",M16+AI16,0)</f>
        <v>0</v>
      </c>
      <c r="AD21" s="46">
        <f>IF(B17="obra existente",M17+AI17,0)</f>
        <v>0</v>
      </c>
      <c r="AE21" s="46">
        <f>SUM(Z21:AD21)</f>
        <v>0</v>
      </c>
      <c r="AF21" s="51">
        <f>IF(N21&lt;&gt;"Concepto: obra nueva",AE21,0)</f>
        <v>0</v>
      </c>
      <c r="AG21" s="52">
        <f>MAX(X21,AF21)</f>
        <v>0</v>
      </c>
      <c r="AH21" s="103">
        <f>AG21*Q21</f>
        <v>0</v>
      </c>
      <c r="AI21" s="16">
        <f>IF(M21="si",-AH21,0)</f>
        <v>0</v>
      </c>
    </row>
    <row r="22" spans="1:35" ht="20.100000000000001" customHeight="1" thickBot="1" x14ac:dyDescent="0.3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</row>
    <row r="23" spans="1:35" ht="30" customHeight="1" thickBot="1" x14ac:dyDescent="0.3">
      <c r="A23" s="100" t="s">
        <v>66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9"/>
      <c r="AI23" s="23">
        <f>(M19+AI19)+AI21</f>
        <v>0</v>
      </c>
    </row>
    <row r="24" spans="1:35" ht="20.100000000000001" customHeight="1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</row>
    <row r="25" spans="1:35" s="24" customFormat="1" ht="15" customHeight="1" x14ac:dyDescent="0.25">
      <c r="A25" s="96" t="s">
        <v>47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</row>
    <row r="26" spans="1:35" s="24" customFormat="1" ht="15" customHeight="1" x14ac:dyDescent="0.25">
      <c r="A26" s="67" t="s">
        <v>83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</row>
    <row r="27" spans="1:35" s="25" customFormat="1" ht="15" customHeight="1" x14ac:dyDescent="0.25">
      <c r="A27" s="91" t="s">
        <v>46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3"/>
    </row>
    <row r="28" spans="1:35" s="25" customFormat="1" ht="15" customHeight="1" x14ac:dyDescent="0.25">
      <c r="A28" s="63" t="s">
        <v>63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</row>
    <row r="29" spans="1:35" s="25" customFormat="1" ht="15" customHeight="1" x14ac:dyDescent="0.25">
      <c r="A29" s="63" t="s">
        <v>64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</row>
    <row r="30" spans="1:35" s="26" customFormat="1" ht="15" customHeight="1" x14ac:dyDescent="0.25">
      <c r="A30" s="60" t="s">
        <v>65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2"/>
    </row>
    <row r="31" spans="1:35" s="26" customFormat="1" ht="15" customHeight="1" x14ac:dyDescent="0.25"/>
    <row r="32" spans="1:35" s="26" customFormat="1" ht="15" customHeight="1" x14ac:dyDescent="0.25"/>
  </sheetData>
  <sheetProtection algorithmName="SHA-512" hashValue="dnVyHDhIKcarzmiqRCWVJizQFI7SlqJiFhWMMtjINrJPkyp+ka4j59yRgFAJxcuk3QxR4zVP78V+3e2o3KtxBA==" saltValue="M55FdiRDGZbskwcUmRC0WA==" spinCount="100000" sheet="1" objects="1" scenarios="1" selectLockedCells="1"/>
  <mergeCells count="38">
    <mergeCell ref="N18:O18"/>
    <mergeCell ref="F21:L21"/>
    <mergeCell ref="A21:E21"/>
    <mergeCell ref="A10:AI10"/>
    <mergeCell ref="A27:AI27"/>
    <mergeCell ref="N11:AI11"/>
    <mergeCell ref="A11:M11"/>
    <mergeCell ref="Z12:AA12"/>
    <mergeCell ref="AD12:AE12"/>
    <mergeCell ref="AB12:AC12"/>
    <mergeCell ref="A24:AI24"/>
    <mergeCell ref="A25:AI25"/>
    <mergeCell ref="N21:P21"/>
    <mergeCell ref="A20:AI20"/>
    <mergeCell ref="A23:Q23"/>
    <mergeCell ref="A1:AI1"/>
    <mergeCell ref="A2:AI2"/>
    <mergeCell ref="B6:AI6"/>
    <mergeCell ref="B7:AI7"/>
    <mergeCell ref="P8:AI8"/>
    <mergeCell ref="A3:AI3"/>
    <mergeCell ref="A4:AI4"/>
    <mergeCell ref="A30:AI30"/>
    <mergeCell ref="A29:AI29"/>
    <mergeCell ref="A28:AI28"/>
    <mergeCell ref="A5:P5"/>
    <mergeCell ref="A26:AI26"/>
    <mergeCell ref="A19:L19"/>
    <mergeCell ref="B8:L8"/>
    <mergeCell ref="N19:Q19"/>
    <mergeCell ref="B12:C12"/>
    <mergeCell ref="B13:C13"/>
    <mergeCell ref="B14:C14"/>
    <mergeCell ref="B15:C15"/>
    <mergeCell ref="B16:C16"/>
    <mergeCell ref="B17:C17"/>
    <mergeCell ref="A22:AI22"/>
    <mergeCell ref="A18:M18"/>
  </mergeCells>
  <pageMargins left="0.7" right="0.7" top="0.75" bottom="0.75" header="0.3" footer="0.3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14" yWindow="783" count="6">
        <x14:dataValidation type="list" allowBlank="1" showInputMessage="1" showErrorMessage="1">
          <x14:formula1>
            <xm:f>Hoja1!$A$28:$A$30</xm:f>
          </x14:formula1>
          <xm:sqref>P18</xm:sqref>
        </x14:dataValidation>
        <x14:dataValidation type="list" allowBlank="1" showInputMessage="1" showErrorMessage="1">
          <x14:formula1>
            <xm:f>Hoja1!$A$18:$A$22</xm:f>
          </x14:formula1>
          <xm:sqref>B13:C17</xm:sqref>
        </x14:dataValidation>
        <x14:dataValidation type="list" allowBlank="1" showInputMessage="1" showErrorMessage="1">
          <x14:formula1>
            <xm:f>Hoja1!$A$1:$A$16</xm:f>
          </x14:formula1>
          <xm:sqref>A13:A17</xm:sqref>
        </x14:dataValidation>
        <x14:dataValidation type="list" allowBlank="1" showInputMessage="1" showErrorMessage="1" promptTitle="(Seleccionar)" prompt="(Seleccionar)">
          <x14:formula1>
            <xm:f>Hoja1!$A$28:$A$30</xm:f>
          </x14:formula1>
          <xm:sqref>N13:O17</xm:sqref>
        </x14:dataValidation>
        <x14:dataValidation type="list" allowBlank="1" showInputMessage="1" showErrorMessage="1">
          <x14:formula1>
            <xm:f>Hoja1!$A$28:$A$30</xm:f>
          </x14:formula1>
          <xm:sqref>M21</xm:sqref>
        </x14:dataValidation>
        <x14:dataValidation type="list" allowBlank="1" showInputMessage="1" showErrorMessage="1">
          <x14:formula1>
            <xm:f>Hoja1!$A$32:$A$37</xm:f>
          </x14:formula1>
          <xm:sqref>N21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Instructivo</vt:lpstr>
      <vt:lpstr>Derechos de construcción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Villarreal</dc:creator>
  <cp:lastModifiedBy>Melanie Villarreal</cp:lastModifiedBy>
  <cp:lastPrinted>2021-03-23T16:13:56Z</cp:lastPrinted>
  <dcterms:created xsi:type="dcterms:W3CDTF">2021-03-10T21:13:48Z</dcterms:created>
  <dcterms:modified xsi:type="dcterms:W3CDTF">2021-03-23T16:18:36Z</dcterms:modified>
</cp:coreProperties>
</file>